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Расчет проекции Бонна" sheetId="1" r:id="rId1"/>
  </sheets>
  <definedNames>
    <definedName name="solver_adj" localSheetId="0" hidden="1">'Расчет проекции Бонна'!$H$34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'Расчет проекции Бонна'!$F$44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<sst xmlns="http://schemas.openxmlformats.org/spreadsheetml/2006/main" count="74" uniqueCount="64">
  <si>
    <t>Параметры эллипсоида Вальбека</t>
  </si>
  <si>
    <t>Метры</t>
  </si>
  <si>
    <t>Сажени</t>
  </si>
  <si>
    <t>Футы</t>
  </si>
  <si>
    <t>Большая полуось, a</t>
  </si>
  <si>
    <t>Малая полуось, b</t>
  </si>
  <si>
    <t>f</t>
  </si>
  <si>
    <t>1/f</t>
  </si>
  <si>
    <t>e</t>
  </si>
  <si>
    <t>e^2</t>
  </si>
  <si>
    <t>Параметры проекции</t>
  </si>
  <si>
    <t>Градусы</t>
  </si>
  <si>
    <t>Радианы</t>
  </si>
  <si>
    <t>Центральный меридиан, L0</t>
  </si>
  <si>
    <t>долгота от Пулково</t>
  </si>
  <si>
    <t>Главная параллель, Фи1</t>
  </si>
  <si>
    <t>Долгота начала координат, L0</t>
  </si>
  <si>
    <t>Широта начала координат, Фи1</t>
  </si>
  <si>
    <t>Расчетные параметры проекции</t>
  </si>
  <si>
    <t>Расчет рамки в линейных единицах</t>
  </si>
  <si>
    <t>sin(Фи1)</t>
  </si>
  <si>
    <t>Ряд</t>
  </si>
  <si>
    <t>Столбец</t>
  </si>
  <si>
    <t>m1</t>
  </si>
  <si>
    <t>Номер листа</t>
  </si>
  <si>
    <t>e^4</t>
  </si>
  <si>
    <t>Углы</t>
  </si>
  <si>
    <t>x</t>
  </si>
  <si>
    <t>y</t>
  </si>
  <si>
    <t>e^6</t>
  </si>
  <si>
    <t>ВЛ</t>
  </si>
  <si>
    <t>M1/a</t>
  </si>
  <si>
    <t>ВП</t>
  </si>
  <si>
    <t>Фи</t>
  </si>
  <si>
    <t>НЛ</t>
  </si>
  <si>
    <t>sin(Фи)</t>
  </si>
  <si>
    <t>НП</t>
  </si>
  <si>
    <t>cos(Фи)</t>
  </si>
  <si>
    <t>Размер по вертикали, саж</t>
  </si>
  <si>
    <t>m</t>
  </si>
  <si>
    <t>Размер по горизонтали, саж</t>
  </si>
  <si>
    <t>M/a</t>
  </si>
  <si>
    <t>Коэффициент</t>
  </si>
  <si>
    <t>Ро</t>
  </si>
  <si>
    <t>Сажень</t>
  </si>
  <si>
    <t>Метр</t>
  </si>
  <si>
    <t>Фут</t>
  </si>
  <si>
    <t>L</t>
  </si>
  <si>
    <t>L-L0</t>
  </si>
  <si>
    <t>Расчет y при заданном x (пересечение параллели с рамкой)</t>
  </si>
  <si>
    <t>Подбор x при заданном y (пересечение меридиана с рамкой)</t>
  </si>
  <si>
    <t>y задан.</t>
  </si>
  <si>
    <t>x пробн.</t>
  </si>
  <si>
    <t>sinE</t>
  </si>
  <si>
    <t>am1/sin(Фи1)</t>
  </si>
  <si>
    <t>x расчетн.</t>
  </si>
  <si>
    <t>E</t>
  </si>
  <si>
    <t>cosE</t>
  </si>
  <si>
    <t>M</t>
  </si>
  <si>
    <t>мю</t>
  </si>
  <si>
    <t>e1</t>
  </si>
  <si>
    <t>Градусы:</t>
  </si>
  <si>
    <t>y пробн.</t>
  </si>
  <si>
    <t>Разность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</si>
</sst>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81" fontId="0" fillId="3" borderId="0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/>
    </xf>
    <xf numFmtId="0" fontId="0" fillId="0" borderId="4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3" borderId="8" xfId="0" applyFont="1" applyFill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0">
      <selection activeCell="K36" sqref="K36"/>
    </sheetView>
  </sheetViews>
  <sheetFormatPr defaultColWidth="9.140625" defaultRowHeight="12.75"/>
  <cols>
    <col min="1" max="1" width="27.28125" style="0" customWidth="1"/>
    <col min="2" max="2" width="14.140625" style="0" customWidth="1"/>
    <col min="3" max="3" width="12.421875" style="0" customWidth="1"/>
    <col min="4" max="5" width="12.00390625" style="0" bestFit="1" customWidth="1"/>
    <col min="6" max="6" width="10.28125" style="0" bestFit="1" customWidth="1"/>
    <col min="7" max="7" width="11.57421875" style="0" customWidth="1"/>
  </cols>
  <sheetData>
    <row r="1" ht="13.5" thickBot="1">
      <c r="A1" s="1" t="s">
        <v>0</v>
      </c>
    </row>
    <row r="2" spans="1:4" ht="12.75">
      <c r="A2" s="2"/>
      <c r="B2" s="3" t="s">
        <v>1</v>
      </c>
      <c r="C2" s="3" t="s">
        <v>2</v>
      </c>
      <c r="D2" s="4" t="s">
        <v>3</v>
      </c>
    </row>
    <row r="3" spans="1:4" ht="12.75">
      <c r="A3" s="5" t="s">
        <v>4</v>
      </c>
      <c r="B3" s="6">
        <v>6376896</v>
      </c>
      <c r="C3" s="7">
        <v>2988853</v>
      </c>
      <c r="D3" s="8">
        <f>C3*7</f>
        <v>20921971</v>
      </c>
    </row>
    <row r="4" spans="1:4" ht="12.75">
      <c r="A4" s="5" t="s">
        <v>5</v>
      </c>
      <c r="B4" s="6">
        <v>6355834.84668736</v>
      </c>
      <c r="C4" s="7">
        <f>C3*(1-B5)</f>
        <v>2978981.631349493</v>
      </c>
      <c r="D4" s="8">
        <f>C4*7</f>
        <v>20852871.41944645</v>
      </c>
    </row>
    <row r="5" spans="1:4" ht="12.75">
      <c r="A5" s="5" t="s">
        <v>6</v>
      </c>
      <c r="B5" s="7">
        <f>(B3-B4)/B3</f>
        <v>0.003302728053372717</v>
      </c>
      <c r="C5" s="9"/>
      <c r="D5" s="10"/>
    </row>
    <row r="6" spans="1:4" ht="12.75">
      <c r="A6" s="5" t="s">
        <v>7</v>
      </c>
      <c r="B6" s="11">
        <f>1/B5</f>
        <v>302.7799999999421</v>
      </c>
      <c r="C6" s="9"/>
      <c r="D6" s="10"/>
    </row>
    <row r="7" spans="1:4" ht="12.75">
      <c r="A7" s="5" t="s">
        <v>8</v>
      </c>
      <c r="B7" s="7">
        <f>SQRT(1-B4*B4/B3/B3)</f>
        <v>0.08120682295319052</v>
      </c>
      <c r="C7" s="9"/>
      <c r="D7" s="10"/>
    </row>
    <row r="8" spans="1:4" ht="13.5" thickBot="1">
      <c r="A8" s="12" t="s">
        <v>9</v>
      </c>
      <c r="B8" s="13">
        <f>1-B4*B4/B3/B3</f>
        <v>0.006594548094150832</v>
      </c>
      <c r="C8" s="14"/>
      <c r="D8" s="15"/>
    </row>
    <row r="10" spans="1:5" ht="13.5" thickBot="1">
      <c r="A10" s="1" t="s">
        <v>10</v>
      </c>
      <c r="B10" s="16"/>
      <c r="C10" s="16"/>
      <c r="D10" s="17"/>
      <c r="E10" s="17"/>
    </row>
    <row r="11" spans="1:5" ht="12.75">
      <c r="A11" s="18"/>
      <c r="B11" s="19" t="s">
        <v>11</v>
      </c>
      <c r="C11" s="19" t="s">
        <v>12</v>
      </c>
      <c r="D11" s="20"/>
      <c r="E11" s="21"/>
    </row>
    <row r="12" spans="1:5" ht="12.75">
      <c r="A12" s="22" t="s">
        <v>13</v>
      </c>
      <c r="B12" s="23">
        <v>0</v>
      </c>
      <c r="C12" s="24">
        <f>RADIANS(B12)</f>
        <v>0</v>
      </c>
      <c r="D12" s="25" t="s">
        <v>14</v>
      </c>
      <c r="E12" s="26"/>
    </row>
    <row r="13" spans="1:5" ht="12.75">
      <c r="A13" s="22" t="s">
        <v>15</v>
      </c>
      <c r="B13" s="27">
        <v>52</v>
      </c>
      <c r="C13" s="24">
        <f>RADIANS(B13)</f>
        <v>0.9075712110370514</v>
      </c>
      <c r="D13" s="25"/>
      <c r="E13" s="26"/>
    </row>
    <row r="14" spans="1:5" ht="12.75">
      <c r="A14" s="22" t="s">
        <v>16</v>
      </c>
      <c r="B14" s="23">
        <v>0</v>
      </c>
      <c r="C14" s="24">
        <f>RADIANS(B14)</f>
        <v>0</v>
      </c>
      <c r="D14" s="25" t="s">
        <v>14</v>
      </c>
      <c r="E14" s="26"/>
    </row>
    <row r="15" spans="1:5" ht="13.5" thickBot="1">
      <c r="A15" s="28" t="s">
        <v>17</v>
      </c>
      <c r="B15" s="29">
        <v>52</v>
      </c>
      <c r="C15" s="30">
        <f>RADIANS(B15)</f>
        <v>0.9075712110370514</v>
      </c>
      <c r="D15" s="31"/>
      <c r="E15" s="32"/>
    </row>
    <row r="16" spans="1:5" ht="12.75">
      <c r="A16" s="17"/>
      <c r="B16" s="17"/>
      <c r="C16" s="17"/>
      <c r="D16" s="17"/>
      <c r="E16" s="17"/>
    </row>
    <row r="17" spans="1:7" ht="13.5" thickBot="1">
      <c r="A17" s="1" t="s">
        <v>18</v>
      </c>
      <c r="B17" s="17"/>
      <c r="C17" s="17"/>
      <c r="D17" s="17"/>
      <c r="E17" s="17"/>
      <c r="G17" s="1" t="s">
        <v>19</v>
      </c>
    </row>
    <row r="18" spans="1:11" ht="12.75">
      <c r="A18" s="18" t="s">
        <v>20</v>
      </c>
      <c r="B18" s="19"/>
      <c r="C18" s="33">
        <f>SIN(C13)</f>
        <v>0.788010753606722</v>
      </c>
      <c r="D18" s="20"/>
      <c r="E18" s="21"/>
      <c r="G18" s="34"/>
      <c r="H18" s="3" t="s">
        <v>21</v>
      </c>
      <c r="I18" s="3" t="s">
        <v>22</v>
      </c>
      <c r="J18" s="35"/>
      <c r="K18" s="36"/>
    </row>
    <row r="19" spans="1:11" ht="12.75">
      <c r="A19" s="22" t="s">
        <v>23</v>
      </c>
      <c r="B19" s="25"/>
      <c r="C19" s="24">
        <f>COS(C13)/SQRT(1-B8*C18*C18)</f>
        <v>0.6169259136018549</v>
      </c>
      <c r="D19" s="37"/>
      <c r="E19" s="26"/>
      <c r="G19" s="38" t="s">
        <v>24</v>
      </c>
      <c r="H19" s="39">
        <v>12</v>
      </c>
      <c r="I19" s="39">
        <v>13</v>
      </c>
      <c r="J19" s="40"/>
      <c r="K19" s="41"/>
    </row>
    <row r="20" spans="1:11" ht="12.75">
      <c r="A20" s="22" t="s">
        <v>25</v>
      </c>
      <c r="B20" s="25"/>
      <c r="C20" s="24">
        <f>B8*B8</f>
        <v>4.348806456606837E-05</v>
      </c>
      <c r="D20" s="37"/>
      <c r="E20" s="26"/>
      <c r="G20" s="38" t="s">
        <v>26</v>
      </c>
      <c r="H20" s="42" t="s">
        <v>27</v>
      </c>
      <c r="I20" s="42" t="s">
        <v>28</v>
      </c>
      <c r="J20" s="40"/>
      <c r="K20" s="41"/>
    </row>
    <row r="21" spans="1:11" ht="12.75">
      <c r="A21" s="22" t="s">
        <v>29</v>
      </c>
      <c r="B21" s="25"/>
      <c r="C21" s="24">
        <f>B8*B8*B8</f>
        <v>2.8678413330247445E-07</v>
      </c>
      <c r="D21" s="37"/>
      <c r="E21" s="26"/>
      <c r="G21" s="38" t="s">
        <v>30</v>
      </c>
      <c r="H21" s="43">
        <f>(I19-9)*K26*J27</f>
        <v>966000</v>
      </c>
      <c r="I21" s="43">
        <f>(19-H19)*K25*J27+10500*J27</f>
        <v>1286250</v>
      </c>
      <c r="J21" s="40"/>
      <c r="K21" s="41"/>
    </row>
    <row r="22" spans="1:11" ht="12.75">
      <c r="A22" s="22" t="s">
        <v>31</v>
      </c>
      <c r="B22" s="25"/>
      <c r="C22" s="24">
        <f>(1-B8/4-3*C20/64-5*C21/256)*C13-(3*B8/8+3*C20/32+45*C21/1024)*SIN(2*C13)+(15*C20/256+45*C21/1024)*SIN(4*C13)-(35*C21/3072)*SIN(6*C13)</f>
        <v>0.9036684342871368</v>
      </c>
      <c r="D22" s="37"/>
      <c r="E22" s="26"/>
      <c r="G22" s="38" t="s">
        <v>32</v>
      </c>
      <c r="H22" s="43">
        <f>(I19-8)*K26*J27</f>
        <v>1207500</v>
      </c>
      <c r="I22" s="43">
        <f>(19-H19)*24750*J27+10500*J27</f>
        <v>1286250</v>
      </c>
      <c r="J22" s="40"/>
      <c r="K22" s="41"/>
    </row>
    <row r="23" spans="1:11" ht="12.75">
      <c r="A23" s="22" t="s">
        <v>33</v>
      </c>
      <c r="B23" s="23">
        <v>55</v>
      </c>
      <c r="C23" s="24">
        <f>RADIANS(B23)</f>
        <v>0.9599310885968813</v>
      </c>
      <c r="D23" s="37"/>
      <c r="E23" s="26"/>
      <c r="G23" s="38" t="s">
        <v>34</v>
      </c>
      <c r="H23" s="43">
        <f>(I19-9)*34500*J27</f>
        <v>966000</v>
      </c>
      <c r="I23" s="43">
        <f>(18-H19)*24750*J27+10500*J27</f>
        <v>1113000</v>
      </c>
      <c r="J23" s="40"/>
      <c r="K23" s="41"/>
    </row>
    <row r="24" spans="1:11" ht="12.75">
      <c r="A24" s="22" t="s">
        <v>35</v>
      </c>
      <c r="B24" s="25"/>
      <c r="C24" s="24">
        <f>SIN(C23)</f>
        <v>0.8191520442889918</v>
      </c>
      <c r="D24" s="37"/>
      <c r="E24" s="26"/>
      <c r="G24" s="38" t="s">
        <v>36</v>
      </c>
      <c r="H24" s="43">
        <f>(I19-8)*34500*J27</f>
        <v>1207500</v>
      </c>
      <c r="I24" s="43">
        <f>(18-H19)*24750*J27+10500*J27</f>
        <v>1113000</v>
      </c>
      <c r="J24" s="40"/>
      <c r="K24" s="41"/>
    </row>
    <row r="25" spans="1:11" ht="12.75">
      <c r="A25" s="22" t="s">
        <v>37</v>
      </c>
      <c r="B25" s="25"/>
      <c r="C25" s="24">
        <f>COS(C23)</f>
        <v>0.5735764363510462</v>
      </c>
      <c r="D25" s="37"/>
      <c r="E25" s="26"/>
      <c r="G25" s="38"/>
      <c r="H25" s="40" t="s">
        <v>38</v>
      </c>
      <c r="I25" s="40"/>
      <c r="J25" s="40"/>
      <c r="K25" s="44">
        <v>24750</v>
      </c>
    </row>
    <row r="26" spans="1:11" ht="12.75">
      <c r="A26" s="22" t="s">
        <v>39</v>
      </c>
      <c r="B26" s="25"/>
      <c r="C26" s="24">
        <f>C25/SQRT(1-B8*C24*C24)</f>
        <v>0.5748497037908603</v>
      </c>
      <c r="D26" s="37"/>
      <c r="E26" s="26"/>
      <c r="G26" s="38"/>
      <c r="H26" s="40" t="s">
        <v>40</v>
      </c>
      <c r="I26" s="40"/>
      <c r="J26" s="40"/>
      <c r="K26" s="44">
        <v>34500</v>
      </c>
    </row>
    <row r="27" spans="1:11" ht="12.75">
      <c r="A27" s="22" t="s">
        <v>41</v>
      </c>
      <c r="B27" s="25"/>
      <c r="C27" s="24">
        <f>(1-B8/4-3*C20/64-5*C21/256)*C23-(3*B8/8+3*C20/32+45*C21/1024)*SIN(2*C23)+(15*C20/256+45*C21/1024)*SIN(4*C23)-(35*C21/3072)*SIN(6*C23)</f>
        <v>0.9560172430487457</v>
      </c>
      <c r="D27" s="37"/>
      <c r="E27" s="26"/>
      <c r="G27" s="38"/>
      <c r="H27" s="40" t="s">
        <v>42</v>
      </c>
      <c r="I27" s="40"/>
      <c r="J27" s="45">
        <f>J29</f>
        <v>7</v>
      </c>
      <c r="K27" s="41"/>
    </row>
    <row r="28" spans="1:11" ht="12.75">
      <c r="A28" s="22" t="s">
        <v>43</v>
      </c>
      <c r="B28" s="25"/>
      <c r="C28" s="24">
        <f>(C19/C18+C22-C27)*B3</f>
        <v>4658586.614071613</v>
      </c>
      <c r="D28" s="24">
        <f>(C19/C18+C22-C27)*C3</f>
        <v>2183480.8937181635</v>
      </c>
      <c r="E28" s="46">
        <f>(C19/C18+C22-C27)*D3</f>
        <v>15284366.256027145</v>
      </c>
      <c r="G28" s="38"/>
      <c r="H28" s="40" t="s">
        <v>44</v>
      </c>
      <c r="I28" s="40" t="s">
        <v>45</v>
      </c>
      <c r="J28" s="40" t="s">
        <v>46</v>
      </c>
      <c r="K28" s="41"/>
    </row>
    <row r="29" spans="1:11" ht="12.75">
      <c r="A29" s="47"/>
      <c r="B29" s="37"/>
      <c r="C29" s="25" t="s">
        <v>1</v>
      </c>
      <c r="D29" s="25" t="s">
        <v>2</v>
      </c>
      <c r="E29" s="48" t="s">
        <v>3</v>
      </c>
      <c r="G29" s="38"/>
      <c r="H29" s="49">
        <v>1</v>
      </c>
      <c r="I29" s="49">
        <v>2.1336</v>
      </c>
      <c r="J29" s="49">
        <v>7</v>
      </c>
      <c r="K29" s="41"/>
    </row>
    <row r="30" spans="1:11" ht="12.75">
      <c r="A30" s="22" t="s">
        <v>47</v>
      </c>
      <c r="B30" s="23">
        <v>5.6666666666667</v>
      </c>
      <c r="C30" s="25"/>
      <c r="D30" s="25"/>
      <c r="E30" s="48"/>
      <c r="G30" s="50"/>
      <c r="H30" s="9"/>
      <c r="I30" s="9"/>
      <c r="J30" s="9"/>
      <c r="K30" s="10"/>
    </row>
    <row r="31" spans="1:11" ht="13.5" thickBot="1">
      <c r="A31" s="28" t="s">
        <v>48</v>
      </c>
      <c r="B31" s="30">
        <f>B30-B12</f>
        <v>5.6666666666667</v>
      </c>
      <c r="C31" s="30">
        <f>RADIANS(B31)</f>
        <v>0.09890199094634591</v>
      </c>
      <c r="D31" s="31"/>
      <c r="E31" s="51"/>
      <c r="G31" s="52"/>
      <c r="H31" s="14"/>
      <c r="I31" s="14"/>
      <c r="J31" s="14"/>
      <c r="K31" s="15"/>
    </row>
    <row r="32" spans="1:5" ht="12.75">
      <c r="A32" s="17"/>
      <c r="B32" s="17"/>
      <c r="C32" s="16"/>
      <c r="D32" s="16"/>
      <c r="E32" s="16"/>
    </row>
    <row r="33" spans="1:5" ht="13.5" thickBot="1">
      <c r="A33" s="1" t="s">
        <v>49</v>
      </c>
      <c r="E33" s="1" t="s">
        <v>50</v>
      </c>
    </row>
    <row r="34" spans="1:8" ht="12.75">
      <c r="A34" s="18" t="s">
        <v>27</v>
      </c>
      <c r="B34" s="53"/>
      <c r="C34" s="54">
        <v>966000</v>
      </c>
      <c r="E34" s="2" t="s">
        <v>51</v>
      </c>
      <c r="F34" s="55">
        <v>1113000</v>
      </c>
      <c r="G34" s="56" t="s">
        <v>52</v>
      </c>
      <c r="H34" s="57">
        <v>1190605.8987214635</v>
      </c>
    </row>
    <row r="35" spans="1:8" ht="12.75">
      <c r="A35" s="22" t="s">
        <v>53</v>
      </c>
      <c r="B35" s="9"/>
      <c r="C35" s="8">
        <f>C34/E28</f>
        <v>0.063201835379931</v>
      </c>
      <c r="E35" s="58" t="s">
        <v>54</v>
      </c>
      <c r="F35" s="59">
        <f>D3*C19/C18</f>
        <v>16379606.51482207</v>
      </c>
      <c r="G35" s="60" t="s">
        <v>55</v>
      </c>
      <c r="H35" s="8">
        <f>H34</f>
        <v>1190605.8987214635</v>
      </c>
    </row>
    <row r="36" spans="1:8" ht="12.75">
      <c r="A36" s="22" t="s">
        <v>56</v>
      </c>
      <c r="B36" s="9"/>
      <c r="C36" s="8">
        <f>ASIN(C35)</f>
        <v>0.06324398751988337</v>
      </c>
      <c r="E36" s="58" t="s">
        <v>43</v>
      </c>
      <c r="F36" s="59">
        <f>SQRT(H34*H34+(F35-F34)*(F35-F34))</f>
        <v>15312962.381083485</v>
      </c>
      <c r="G36" s="9"/>
      <c r="H36" s="10"/>
    </row>
    <row r="37" spans="1:8" ht="12.75">
      <c r="A37" s="22" t="s">
        <v>57</v>
      </c>
      <c r="B37" s="9"/>
      <c r="C37" s="8">
        <f>COS(C36)</f>
        <v>0.9980007655330771</v>
      </c>
      <c r="E37" s="58" t="s">
        <v>58</v>
      </c>
      <c r="F37" s="59">
        <f>F35+C22*D3-F36</f>
        <v>19973168.90950947</v>
      </c>
      <c r="G37" s="9"/>
      <c r="H37" s="10"/>
    </row>
    <row r="38" spans="1:8" ht="13.5" thickBot="1">
      <c r="A38" s="28" t="s">
        <v>28</v>
      </c>
      <c r="B38" s="14"/>
      <c r="C38" s="61">
        <f>D3*C19/C18-E28*C37</f>
        <v>1125797.2906190455</v>
      </c>
      <c r="E38" s="58" t="s">
        <v>59</v>
      </c>
      <c r="F38" s="7">
        <f>F37/(D3*(1-B8/4-3*C20/64-5*C21/256))</f>
        <v>0.9562288731940458</v>
      </c>
      <c r="G38" s="9"/>
      <c r="H38" s="10"/>
    </row>
    <row r="39" spans="5:8" ht="12.75">
      <c r="E39" s="58" t="s">
        <v>60</v>
      </c>
      <c r="F39" s="7">
        <f>(1-SQRT(1-B8))/(1+SQRT(1-B8))</f>
        <v>0.001654095540558745</v>
      </c>
      <c r="G39" s="9" t="s">
        <v>61</v>
      </c>
      <c r="H39" s="10"/>
    </row>
    <row r="40" spans="5:8" ht="12.75">
      <c r="E40" s="58" t="s">
        <v>33</v>
      </c>
      <c r="F40" s="7">
        <f>F38+(3*F39/2-27*F39*F39*F39/32)*SIN(2*F38)+(21*F39*F39/16-55*F39*F39*F39*F39/32)*SIN(4*F38)+(151*F39*F39*F39/96)*SIN(6*F38)+(1097*F39*F39*F39*F39/512)*SIN(8*F38)</f>
        <v>0.9585643301339299</v>
      </c>
      <c r="G40" s="7">
        <f>DEGREES(F40)</f>
        <v>54.9216905084591</v>
      </c>
      <c r="H40" s="10"/>
    </row>
    <row r="41" spans="5:8" ht="12.75">
      <c r="E41" s="58" t="s">
        <v>39</v>
      </c>
      <c r="F41" s="7">
        <f>COS(F40)/SQRT(1-B8*SIN(F40)*SIN(F40))</f>
        <v>0.5759687836832963</v>
      </c>
      <c r="G41" s="9"/>
      <c r="H41" s="10"/>
    </row>
    <row r="42" spans="5:8" ht="12.75">
      <c r="E42" s="58" t="s">
        <v>56</v>
      </c>
      <c r="F42" s="7">
        <f>D3*F41*C31/F36</f>
        <v>0.0778300591713827</v>
      </c>
      <c r="G42" s="9"/>
      <c r="H42" s="10"/>
    </row>
    <row r="43" spans="5:8" ht="12.75">
      <c r="E43" s="58" t="s">
        <v>62</v>
      </c>
      <c r="F43" s="7">
        <f>F35-F36*COS(F42)</f>
        <v>1112999.999999931</v>
      </c>
      <c r="G43" s="9"/>
      <c r="H43" s="10"/>
    </row>
    <row r="44" spans="5:8" ht="13.5" thickBot="1">
      <c r="E44" s="62" t="s">
        <v>63</v>
      </c>
      <c r="F44" s="13">
        <f>F34-F43</f>
        <v>6.891787052154541E-08</v>
      </c>
      <c r="G44" s="14"/>
      <c r="H44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kom</cp:lastModifiedBy>
  <dcterms:created xsi:type="dcterms:W3CDTF">2013-01-14T16:48:18Z</dcterms:created>
  <dcterms:modified xsi:type="dcterms:W3CDTF">2013-01-14T16:49:12Z</dcterms:modified>
  <cp:category/>
  <cp:version/>
  <cp:contentType/>
  <cp:contentStatus/>
</cp:coreProperties>
</file>